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amDrive Spaces\ČRa\Tesla Blatná\"/>
    </mc:Choice>
  </mc:AlternateContent>
  <xr:revisionPtr revIDLastSave="0" documentId="13_ncr:1_{59485D29-B19E-4644-A345-23CEACE8CE57}" xr6:coauthVersionLast="36" xr6:coauthVersionMax="36" xr10:uidLastSave="{00000000-0000-0000-0000-000000000000}"/>
  <bookViews>
    <workbookView xWindow="0" yWindow="0" windowWidth="23040" windowHeight="9216" xr2:uid="{924F0029-1092-492E-A0B7-279B5C4D4871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4" i="1"/>
  <c r="F14" i="1" s="1"/>
  <c r="O7" i="1" l="1"/>
  <c r="O8" i="1"/>
  <c r="O9" i="1"/>
  <c r="O10" i="1"/>
  <c r="O11" i="1"/>
  <c r="O12" i="1"/>
  <c r="O13" i="1"/>
  <c r="O6" i="1"/>
  <c r="L9" i="1"/>
  <c r="M9" i="1" s="1"/>
  <c r="P9" i="1" s="1"/>
  <c r="L6" i="1"/>
  <c r="M8" i="1" s="1"/>
  <c r="P8" i="1" s="1"/>
  <c r="M7" i="1" l="1"/>
  <c r="P7" i="1" s="1"/>
  <c r="M12" i="1"/>
  <c r="P12" i="1" s="1"/>
  <c r="M11" i="1"/>
  <c r="P11" i="1" s="1"/>
  <c r="M6" i="1"/>
  <c r="P6" i="1" s="1"/>
  <c r="M10" i="1"/>
  <c r="P10" i="1" s="1"/>
  <c r="M13" i="1"/>
  <c r="P13" i="1" s="1"/>
  <c r="F19" i="1"/>
  <c r="F18" i="1"/>
  <c r="F17" i="1"/>
  <c r="F16" i="1"/>
  <c r="F15" i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</calcChain>
</file>

<file path=xl/sharedStrings.xml><?xml version="1.0" encoding="utf-8"?>
<sst xmlns="http://schemas.openxmlformats.org/spreadsheetml/2006/main" count="95" uniqueCount="77">
  <si>
    <t>Stavový registr</t>
  </si>
  <si>
    <t>Napětí baterie</t>
  </si>
  <si>
    <r>
      <t>NO</t>
    </r>
    <r>
      <rPr>
        <vertAlign val="subscript"/>
        <sz val="11"/>
        <color theme="1"/>
        <rFont val="Calibri"/>
        <family val="2"/>
        <charset val="238"/>
        <scheme val="minor"/>
      </rPr>
      <t>2</t>
    </r>
  </si>
  <si>
    <r>
      <t>O</t>
    </r>
    <r>
      <rPr>
        <vertAlign val="subscript"/>
        <sz val="11"/>
        <color theme="1"/>
        <rFont val="Calibri"/>
        <family val="2"/>
        <charset val="238"/>
        <scheme val="minor"/>
      </rPr>
      <t>3</t>
    </r>
  </si>
  <si>
    <t>CO</t>
  </si>
  <si>
    <r>
      <t>SO</t>
    </r>
    <r>
      <rPr>
        <vertAlign val="subscript"/>
        <sz val="11"/>
        <color theme="1"/>
        <rFont val="Calibri"/>
        <family val="2"/>
        <charset val="238"/>
        <scheme val="minor"/>
      </rPr>
      <t>2</t>
    </r>
  </si>
  <si>
    <t>0 - 20000</t>
  </si>
  <si>
    <t>ppb</t>
  </si>
  <si>
    <t>0 - 500000</t>
  </si>
  <si>
    <t>0 - 50000</t>
  </si>
  <si>
    <t>LUX</t>
  </si>
  <si>
    <t>1000 - 10000</t>
  </si>
  <si>
    <t>K</t>
  </si>
  <si>
    <t>0 - 16496</t>
  </si>
  <si>
    <t>lux</t>
  </si>
  <si>
    <t>CCT</t>
  </si>
  <si>
    <t>UV-Index</t>
  </si>
  <si>
    <t>0 - 12</t>
  </si>
  <si>
    <t>Tlak</t>
  </si>
  <si>
    <t>260 - 1260</t>
  </si>
  <si>
    <t>hPa</t>
  </si>
  <si>
    <t>UV-index</t>
  </si>
  <si>
    <t>Teplota</t>
  </si>
  <si>
    <t>-40 - +125</t>
  </si>
  <si>
    <t>˚C</t>
  </si>
  <si>
    <t>Vlhkost</t>
  </si>
  <si>
    <t>Hluk</t>
  </si>
  <si>
    <t>0 - 120</t>
  </si>
  <si>
    <t>0 - 100</t>
  </si>
  <si>
    <t>%RH</t>
  </si>
  <si>
    <t>dB</t>
  </si>
  <si>
    <t>PR 2,5</t>
  </si>
  <si>
    <t>PR 10</t>
  </si>
  <si>
    <t>0 - 1000</t>
  </si>
  <si>
    <r>
      <t>ꙡg/m</t>
    </r>
    <r>
      <rPr>
        <vertAlign val="superscript"/>
        <sz val="11"/>
        <color theme="1"/>
        <rFont val="Calibri"/>
        <family val="2"/>
        <charset val="238"/>
      </rPr>
      <t>3</t>
    </r>
  </si>
  <si>
    <t>mV</t>
  </si>
  <si>
    <t>SB</t>
  </si>
  <si>
    <t>No CHs</t>
  </si>
  <si>
    <t>Ch DC</t>
  </si>
  <si>
    <t>status</t>
  </si>
  <si>
    <t>on</t>
  </si>
  <si>
    <t>SB DC</t>
  </si>
  <si>
    <t>channelID</t>
  </si>
  <si>
    <t>mac set ch freq &lt;channelID&gt; &lt;frequency&gt;</t>
  </si>
  <si>
    <t>frequency</t>
  </si>
  <si>
    <t>mac set ch dcycle &lt;channelID&gt; &lt;dutyCycle&gt;</t>
  </si>
  <si>
    <t>dutyCycle</t>
  </si>
  <si>
    <t>minRange</t>
  </si>
  <si>
    <t>maxRange</t>
  </si>
  <si>
    <r>
      <rPr>
        <sz val="11"/>
        <rFont val="Calibri"/>
        <family val="2"/>
        <charset val="238"/>
        <scheme val="minor"/>
      </rPr>
      <t>on</t>
    </r>
    <r>
      <rPr>
        <i/>
        <sz val="11"/>
        <color theme="0" tint="-0.499984740745262"/>
        <rFont val="Calibri"/>
        <family val="2"/>
        <charset val="238"/>
        <scheme val="minor"/>
      </rPr>
      <t xml:space="preserve">
</t>
    </r>
    <r>
      <rPr>
        <i/>
        <sz val="9"/>
        <color rgb="FFC00000"/>
        <rFont val="Calibri"/>
        <family val="2"/>
        <charset val="238"/>
        <scheme val="minor"/>
      </rPr>
      <t>(default)</t>
    </r>
  </si>
  <si>
    <r>
      <rPr>
        <b/>
        <sz val="12"/>
        <color theme="1"/>
        <rFont val="Calibri"/>
        <family val="2"/>
        <charset val="238"/>
        <scheme val="minor"/>
      </rPr>
      <t>RN2483 configuration commands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(</t>
    </r>
    <r>
      <rPr>
        <b/>
        <i/>
        <sz val="11"/>
        <color theme="1"/>
        <rFont val="Calibri"/>
        <family val="2"/>
        <charset val="238"/>
        <scheme val="minor"/>
      </rPr>
      <t>mac save</t>
    </r>
    <r>
      <rPr>
        <i/>
        <sz val="11"/>
        <color theme="1"/>
        <rFont val="Calibri"/>
        <family val="2"/>
        <charset val="238"/>
        <scheme val="minor"/>
      </rPr>
      <t xml:space="preserve"> -&gt; to save parameters to the EEPROM memory)</t>
    </r>
  </si>
  <si>
    <t>DR Range</t>
  </si>
  <si>
    <t>mac set ch status &lt;channelID&gt; on</t>
  </si>
  <si>
    <r>
      <t xml:space="preserve">Ch
</t>
    </r>
    <r>
      <rPr>
        <sz val="10"/>
        <color theme="1"/>
        <rFont val="Calibri"/>
        <family val="2"/>
        <charset val="238"/>
        <scheme val="minor"/>
      </rPr>
      <t>(MHz)</t>
    </r>
  </si>
  <si>
    <t>mac set ch drrange &lt;channelID&gt; &lt;minRange&gt; &lt;maxRange&gt;</t>
  </si>
  <si>
    <r>
      <rPr>
        <b/>
        <sz val="12"/>
        <color theme="1"/>
        <rFont val="Calibri"/>
        <family val="2"/>
        <charset val="238"/>
        <scheme val="minor"/>
      </rPr>
      <t xml:space="preserve">RN2483
</t>
    </r>
    <r>
      <rPr>
        <i/>
        <sz val="11"/>
        <color theme="1"/>
        <rFont val="Calibri"/>
        <family val="2"/>
        <charset val="238"/>
        <scheme val="minor"/>
      </rPr>
      <t>(</t>
    </r>
    <r>
      <rPr>
        <b/>
        <i/>
        <sz val="11"/>
        <color theme="1"/>
        <rFont val="Calibri"/>
        <family val="2"/>
        <charset val="238"/>
        <scheme val="minor"/>
      </rPr>
      <t>mac reset 868</t>
    </r>
    <r>
      <rPr>
        <i/>
        <sz val="11"/>
        <color theme="1"/>
        <rFont val="Calibri"/>
        <family val="2"/>
        <charset val="238"/>
        <scheme val="minor"/>
      </rPr>
      <t xml:space="preserve"> -&gt; to reset to the factory defaults for the EU868 band)</t>
    </r>
  </si>
  <si>
    <t>Prašnost</t>
  </si>
  <si>
    <t>Zvuk</t>
  </si>
  <si>
    <t>Světlo</t>
  </si>
  <si>
    <t>UV</t>
  </si>
  <si>
    <t>RGB</t>
  </si>
  <si>
    <t>Plyny</t>
  </si>
  <si>
    <t>Bit</t>
  </si>
  <si>
    <t>Význam</t>
  </si>
  <si>
    <t>Stavový registr - stav jednotlivých senzorů -&gt; 0 = OK; 1 = neměří (chyba)</t>
  </si>
  <si>
    <t>--</t>
  </si>
  <si>
    <t>Přepočet tlaku na hladinu moře</t>
  </si>
  <si>
    <t>https://de.wikipedia.org/wiki/Barometrische_H%C3%B6henformel</t>
  </si>
  <si>
    <t>h3</t>
  </si>
  <si>
    <r>
      <t>EU868</t>
    </r>
    <r>
      <rPr>
        <sz val="12"/>
        <color theme="1"/>
        <rFont val="Calibri"/>
        <family val="2"/>
        <charset val="238"/>
        <scheme val="minor"/>
      </rPr>
      <t xml:space="preserve"> (VO-R/10)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(per sub band duty cycle)</t>
    </r>
  </si>
  <si>
    <r>
      <rPr>
        <b/>
        <sz val="11"/>
        <color theme="1"/>
        <rFont val="Calibri"/>
        <family val="2"/>
        <charset val="238"/>
        <scheme val="minor"/>
      </rPr>
      <t>h</t>
    </r>
    <r>
      <rPr>
        <sz val="11"/>
        <color theme="1"/>
        <rFont val="Calibri"/>
        <family val="2"/>
        <charset val="238"/>
        <scheme val="minor"/>
      </rPr>
      <t xml:space="preserve">
(odst. 4)</t>
    </r>
  </si>
  <si>
    <t>00002ec50000003d0137001508f7120200003c2501b801a00049003200060007</t>
  </si>
  <si>
    <t>Tlak Teplota</t>
  </si>
  <si>
    <t>-30 - +105</t>
  </si>
  <si>
    <t>pouze v3</t>
  </si>
  <si>
    <t>v2</t>
  </si>
  <si>
    <r>
      <t xml:space="preserve">Payload firmware </t>
    </r>
    <r>
      <rPr>
        <b/>
        <sz val="11"/>
        <color rgb="FFFF0000"/>
        <rFont val="Calibri"/>
        <family val="2"/>
        <charset val="238"/>
        <scheme val="minor"/>
      </rPr>
      <t>v3</t>
    </r>
    <r>
      <rPr>
        <sz val="11"/>
        <color theme="1"/>
        <rFont val="Calibri"/>
        <family val="2"/>
        <charset val="238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</si>
</sst>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3" x14ac:knownFonts="1">
    <font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theme="8" tint="-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color rgb="FFC00000"/>
      <name val="Calibri"/>
      <family val="2"/>
      <charset val="238"/>
      <scheme val="minor"/>
    </font>
    <font>
      <sz val="11"/>
      <color theme="1"/>
      <name val="Consolas"/>
      <family val="3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1">
    <xf numFmtId="0" fontId="0" fillId="0" borderId="0" xfId="0"/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0" fontId="0" fillId="0" borderId="15" xfId="1" applyNumberFormat="1" applyFont="1" applyBorder="1" applyAlignment="1">
      <alignment horizontal="center" vertical="center"/>
    </xf>
    <xf numFmtId="10" fontId="0" fillId="0" borderId="18" xfId="1" applyNumberFormat="1" applyFont="1" applyBorder="1" applyAlignment="1">
      <alignment horizontal="center" vertical="center"/>
    </xf>
    <xf numFmtId="10" fontId="0" fillId="0" borderId="13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7" fillId="0" borderId="32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9" fillId="0" borderId="0" xfId="2" applyAlignment="1">
      <alignment vertical="center"/>
    </xf>
    <xf numFmtId="0" fontId="20" fillId="4" borderId="1" xfId="0" applyFont="1" applyFill="1" applyBorder="1" applyAlignment="1">
      <alignment vertical="center"/>
    </xf>
    <xf numFmtId="0" fontId="20" fillId="4" borderId="17" xfId="0" applyFont="1" applyFill="1" applyBorder="1" applyAlignment="1">
      <alignment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20" fillId="4" borderId="1" xfId="0" applyNumberFormat="1" applyFont="1" applyFill="1" applyBorder="1" applyAlignment="1">
      <alignment horizontal="center" vertical="center"/>
    </xf>
    <xf numFmtId="9" fontId="20" fillId="4" borderId="17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7" fillId="0" borderId="34" xfId="0" quotePrefix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</xdr:colOff>
      <xdr:row>21</xdr:row>
      <xdr:rowOff>53340</xdr:rowOff>
    </xdr:from>
    <xdr:to>
      <xdr:col>13</xdr:col>
      <xdr:colOff>190500</xdr:colOff>
      <xdr:row>29</xdr:row>
      <xdr:rowOff>167640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6BB3E85-0D92-494C-B80C-E879C50B47C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9620" y="5974080"/>
          <a:ext cx="3215640" cy="15773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e.wikipedia.org/wiki/Barometrische_H%C3%B6henform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8B3C3-DC58-492B-BBC0-29F72F168394}">
  <dimension ref="B2:U29"/>
  <sheetViews>
    <sheetView showGridLines="0" tabSelected="1" workbookViewId="0"/>
  </sheetViews>
  <sheetFormatPr defaultRowHeight="14.4" x14ac:dyDescent="0.3"/>
  <cols>
    <col min="1" max="1" width="2.21875" style="2" customWidth="1"/>
    <col min="2" max="2" width="15.44140625" style="2" customWidth="1"/>
    <col min="3" max="3" width="15.44140625" style="1" customWidth="1"/>
    <col min="4" max="6" width="8.88671875" style="2"/>
    <col min="7" max="7" width="16.5546875" style="2" customWidth="1"/>
    <col min="8" max="8" width="2.21875" style="2" customWidth="1"/>
    <col min="9" max="13" width="8.88671875" style="2" customWidth="1"/>
    <col min="14" max="19" width="11.109375" style="2" customWidth="1"/>
    <col min="20" max="20" width="3.5546875" style="2" customWidth="1"/>
    <col min="21" max="21" width="60.109375" style="2" bestFit="1" customWidth="1"/>
    <col min="22" max="16384" width="8.88671875" style="2"/>
  </cols>
  <sheetData>
    <row r="2" spans="2:21" ht="15" thickBot="1" x14ac:dyDescent="0.35">
      <c r="B2" s="2" t="s">
        <v>76</v>
      </c>
    </row>
    <row r="3" spans="2:21" ht="48" customHeight="1" thickBot="1" x14ac:dyDescent="0.35">
      <c r="B3" s="72" t="s">
        <v>71</v>
      </c>
      <c r="C3" s="72"/>
      <c r="D3" s="72"/>
      <c r="E3" s="72"/>
      <c r="F3" s="72"/>
      <c r="G3" s="72"/>
      <c r="H3"/>
      <c r="I3" s="74" t="s">
        <v>69</v>
      </c>
      <c r="J3" s="75"/>
      <c r="K3" s="75"/>
      <c r="L3" s="75"/>
      <c r="M3" s="76"/>
      <c r="N3" s="45" t="s">
        <v>55</v>
      </c>
      <c r="O3" s="46"/>
      <c r="P3" s="46"/>
      <c r="Q3" s="46"/>
      <c r="R3" s="46"/>
      <c r="S3" s="47"/>
      <c r="U3" s="27" t="s">
        <v>50</v>
      </c>
    </row>
    <row r="4" spans="2:21" ht="24" customHeight="1" x14ac:dyDescent="0.3">
      <c r="B4" s="5" t="s">
        <v>0</v>
      </c>
      <c r="C4" s="28"/>
      <c r="D4" s="5"/>
      <c r="E4" s="5" t="str">
        <f>MID($B$3,1,4)</f>
        <v>0000</v>
      </c>
      <c r="F4" s="5">
        <f>HEX2DEC(E4)</f>
        <v>0</v>
      </c>
      <c r="G4" s="65" t="s">
        <v>75</v>
      </c>
      <c r="H4" s="34"/>
      <c r="I4" s="48" t="s">
        <v>36</v>
      </c>
      <c r="J4" s="50" t="s">
        <v>41</v>
      </c>
      <c r="K4" s="52" t="s">
        <v>53</v>
      </c>
      <c r="L4" s="50" t="s">
        <v>37</v>
      </c>
      <c r="M4" s="53" t="s">
        <v>38</v>
      </c>
      <c r="N4" s="55" t="s">
        <v>42</v>
      </c>
      <c r="O4" s="50" t="s">
        <v>44</v>
      </c>
      <c r="P4" s="50" t="s">
        <v>46</v>
      </c>
      <c r="Q4" s="57" t="s">
        <v>51</v>
      </c>
      <c r="R4" s="57"/>
      <c r="S4" s="53" t="s">
        <v>39</v>
      </c>
      <c r="U4" s="22" t="s">
        <v>43</v>
      </c>
    </row>
    <row r="5" spans="2:21" ht="24" customHeight="1" thickBot="1" x14ac:dyDescent="0.35">
      <c r="B5" s="5" t="s">
        <v>1</v>
      </c>
      <c r="C5" s="28"/>
      <c r="D5" s="5" t="s">
        <v>35</v>
      </c>
      <c r="E5" s="29" t="str">
        <f>MID($B$3,5,4)</f>
        <v>2ec5</v>
      </c>
      <c r="F5" s="5">
        <f>HEX2DEC(E5)</f>
        <v>11973</v>
      </c>
      <c r="G5" s="65"/>
      <c r="H5" s="34"/>
      <c r="I5" s="49"/>
      <c r="J5" s="51"/>
      <c r="K5" s="51"/>
      <c r="L5" s="51"/>
      <c r="M5" s="54"/>
      <c r="N5" s="56"/>
      <c r="O5" s="51"/>
      <c r="P5" s="51"/>
      <c r="Q5" s="19" t="s">
        <v>47</v>
      </c>
      <c r="R5" s="19" t="s">
        <v>48</v>
      </c>
      <c r="S5" s="54"/>
      <c r="U5" s="20" t="s">
        <v>45</v>
      </c>
    </row>
    <row r="6" spans="2:21" ht="24" customHeight="1" x14ac:dyDescent="0.3">
      <c r="B6" s="30" t="s">
        <v>2</v>
      </c>
      <c r="C6" s="31" t="s">
        <v>6</v>
      </c>
      <c r="D6" s="30" t="s">
        <v>7</v>
      </c>
      <c r="E6" s="30" t="str">
        <f>MID($B$3,9,4)</f>
        <v>0000</v>
      </c>
      <c r="F6" s="30">
        <f t="shared" ref="F6:F12" si="0">HEX2DEC(E6)</f>
        <v>0</v>
      </c>
      <c r="G6" s="65"/>
      <c r="H6" s="35"/>
      <c r="I6" s="60" t="s">
        <v>68</v>
      </c>
      <c r="J6" s="64">
        <v>0.01</v>
      </c>
      <c r="K6" s="23">
        <v>868.1</v>
      </c>
      <c r="L6" s="68">
        <f>COUNTA(K6:K8)</f>
        <v>3</v>
      </c>
      <c r="M6" s="14">
        <f>ROUND(($J$6/$L$6)*100,2)/100</f>
        <v>3.3E-3</v>
      </c>
      <c r="N6" s="15">
        <v>0</v>
      </c>
      <c r="O6" s="16">
        <f t="shared" ref="O6:O13" si="1">K6*1000000</f>
        <v>868100000</v>
      </c>
      <c r="P6" s="17">
        <f>ROUND(100/(M6*100)-1,0)</f>
        <v>302</v>
      </c>
      <c r="Q6" s="16">
        <v>0</v>
      </c>
      <c r="R6" s="16">
        <v>5</v>
      </c>
      <c r="S6" s="18" t="s">
        <v>49</v>
      </c>
      <c r="U6" s="20" t="s">
        <v>54</v>
      </c>
    </row>
    <row r="7" spans="2:21" ht="24" customHeight="1" thickBot="1" x14ac:dyDescent="0.35">
      <c r="B7" s="30" t="s">
        <v>3</v>
      </c>
      <c r="C7" s="31" t="s">
        <v>6</v>
      </c>
      <c r="D7" s="30" t="s">
        <v>7</v>
      </c>
      <c r="E7" s="30" t="str">
        <f>MID($B$3,13,4)</f>
        <v>003d</v>
      </c>
      <c r="F7" s="30">
        <f t="shared" si="0"/>
        <v>61</v>
      </c>
      <c r="G7" s="65"/>
      <c r="H7" s="35"/>
      <c r="I7" s="61"/>
      <c r="J7" s="65"/>
      <c r="K7" s="24">
        <v>868.3</v>
      </c>
      <c r="L7" s="65"/>
      <c r="M7" s="12">
        <f>ROUND(($J$6/$L$6)*100,2)/100</f>
        <v>3.3E-3</v>
      </c>
      <c r="N7" s="10">
        <v>1</v>
      </c>
      <c r="O7" s="4">
        <f t="shared" si="1"/>
        <v>868300000</v>
      </c>
      <c r="P7" s="5">
        <f>ROUND(100/(M7*100)-1,0)</f>
        <v>302</v>
      </c>
      <c r="Q7" s="4">
        <v>0</v>
      </c>
      <c r="R7" s="4">
        <v>5</v>
      </c>
      <c r="S7" s="6" t="s">
        <v>49</v>
      </c>
      <c r="U7" s="21" t="s">
        <v>52</v>
      </c>
    </row>
    <row r="8" spans="2:21" ht="24" customHeight="1" x14ac:dyDescent="0.3">
      <c r="B8" s="30" t="s">
        <v>4</v>
      </c>
      <c r="C8" s="31" t="s">
        <v>8</v>
      </c>
      <c r="D8" s="30" t="s">
        <v>7</v>
      </c>
      <c r="E8" s="30" t="str">
        <f>MID($B$3,17,4)</f>
        <v>0137</v>
      </c>
      <c r="F8" s="30">
        <f t="shared" si="0"/>
        <v>311</v>
      </c>
      <c r="G8" s="65"/>
      <c r="H8" s="35"/>
      <c r="I8" s="61"/>
      <c r="J8" s="65"/>
      <c r="K8" s="24">
        <v>868.5</v>
      </c>
      <c r="L8" s="65"/>
      <c r="M8" s="12">
        <f>ROUND(($J$6/$L$6)*100,2)/100</f>
        <v>3.3E-3</v>
      </c>
      <c r="N8" s="10">
        <v>2</v>
      </c>
      <c r="O8" s="4">
        <f t="shared" si="1"/>
        <v>868500000</v>
      </c>
      <c r="P8" s="5">
        <f>ROUND(100/(M8*100)-1,0)</f>
        <v>302</v>
      </c>
      <c r="Q8" s="4">
        <v>0</v>
      </c>
      <c r="R8" s="4">
        <v>5</v>
      </c>
      <c r="S8" s="6" t="s">
        <v>49</v>
      </c>
    </row>
    <row r="9" spans="2:21" ht="24" customHeight="1" x14ac:dyDescent="0.3">
      <c r="B9" s="30" t="s">
        <v>5</v>
      </c>
      <c r="C9" s="31" t="s">
        <v>9</v>
      </c>
      <c r="D9" s="30" t="s">
        <v>7</v>
      </c>
      <c r="E9" s="30" t="str">
        <f>MID($B$3,21,4)</f>
        <v>0015</v>
      </c>
      <c r="F9" s="30">
        <f t="shared" si="0"/>
        <v>21</v>
      </c>
      <c r="G9" s="65"/>
      <c r="H9" s="35"/>
      <c r="I9" s="62" t="s">
        <v>70</v>
      </c>
      <c r="J9" s="66">
        <v>0.01</v>
      </c>
      <c r="K9" s="25">
        <v>867.1</v>
      </c>
      <c r="L9" s="65">
        <f>COUNTA(K9:K13)</f>
        <v>5</v>
      </c>
      <c r="M9" s="12">
        <f>ROUND(($J$9/$L$9)*100,2)/100</f>
        <v>2E-3</v>
      </c>
      <c r="N9" s="10">
        <v>3</v>
      </c>
      <c r="O9" s="4">
        <f t="shared" si="1"/>
        <v>867100000</v>
      </c>
      <c r="P9" s="43">
        <f>ROUND(100/(M9*100)-1,0)</f>
        <v>499</v>
      </c>
      <c r="Q9" s="4">
        <v>0</v>
      </c>
      <c r="R9" s="4">
        <v>5</v>
      </c>
      <c r="S9" s="7" t="s">
        <v>40</v>
      </c>
    </row>
    <row r="10" spans="2:21" ht="24" customHeight="1" x14ac:dyDescent="0.3">
      <c r="B10" s="30" t="s">
        <v>10</v>
      </c>
      <c r="C10" s="31" t="s">
        <v>13</v>
      </c>
      <c r="D10" s="30" t="s">
        <v>14</v>
      </c>
      <c r="E10" s="30" t="str">
        <f>MID($B$3,25,4)</f>
        <v>08f7</v>
      </c>
      <c r="F10" s="30">
        <f t="shared" si="0"/>
        <v>2295</v>
      </c>
      <c r="G10" s="65"/>
      <c r="H10" s="35"/>
      <c r="I10" s="61"/>
      <c r="J10" s="66"/>
      <c r="K10" s="25">
        <v>867.3</v>
      </c>
      <c r="L10" s="65"/>
      <c r="M10" s="12">
        <f t="shared" ref="M10:M13" si="2">ROUND(($J$9/$L$9)*100,2)/100</f>
        <v>2E-3</v>
      </c>
      <c r="N10" s="10">
        <v>4</v>
      </c>
      <c r="O10" s="4">
        <f t="shared" si="1"/>
        <v>867300000</v>
      </c>
      <c r="P10" s="43">
        <f>(100/(M10*100))-1</f>
        <v>499</v>
      </c>
      <c r="Q10" s="4">
        <v>0</v>
      </c>
      <c r="R10" s="4">
        <v>5</v>
      </c>
      <c r="S10" s="7" t="s">
        <v>40</v>
      </c>
    </row>
    <row r="11" spans="2:21" ht="24" customHeight="1" x14ac:dyDescent="0.3">
      <c r="B11" s="30" t="s">
        <v>15</v>
      </c>
      <c r="C11" s="31" t="s">
        <v>11</v>
      </c>
      <c r="D11" s="30" t="s">
        <v>12</v>
      </c>
      <c r="E11" s="30" t="str">
        <f>MID($B$3,29,4)</f>
        <v>1202</v>
      </c>
      <c r="F11" s="30">
        <f t="shared" si="0"/>
        <v>4610</v>
      </c>
      <c r="G11" s="65"/>
      <c r="H11" s="35"/>
      <c r="I11" s="61"/>
      <c r="J11" s="66"/>
      <c r="K11" s="25">
        <v>867.5</v>
      </c>
      <c r="L11" s="65"/>
      <c r="M11" s="12">
        <f t="shared" si="2"/>
        <v>2E-3</v>
      </c>
      <c r="N11" s="10">
        <v>5</v>
      </c>
      <c r="O11" s="4">
        <f t="shared" si="1"/>
        <v>867500000</v>
      </c>
      <c r="P11" s="43">
        <f>(100/(M11*100))-1</f>
        <v>499</v>
      </c>
      <c r="Q11" s="4">
        <v>0</v>
      </c>
      <c r="R11" s="4">
        <v>5</v>
      </c>
      <c r="S11" s="7" t="s">
        <v>40</v>
      </c>
    </row>
    <row r="12" spans="2:21" ht="24" customHeight="1" x14ac:dyDescent="0.3">
      <c r="B12" s="30" t="s">
        <v>16</v>
      </c>
      <c r="C12" s="31" t="s">
        <v>17</v>
      </c>
      <c r="D12" s="30" t="s">
        <v>21</v>
      </c>
      <c r="E12" s="30" t="str">
        <f>MID($B$3,33,4)</f>
        <v>0000</v>
      </c>
      <c r="F12" s="30">
        <f t="shared" si="0"/>
        <v>0</v>
      </c>
      <c r="G12" s="65"/>
      <c r="H12" s="35"/>
      <c r="I12" s="61"/>
      <c r="J12" s="66"/>
      <c r="K12" s="25">
        <v>867.7</v>
      </c>
      <c r="L12" s="65"/>
      <c r="M12" s="12">
        <f t="shared" si="2"/>
        <v>2E-3</v>
      </c>
      <c r="N12" s="10">
        <v>6</v>
      </c>
      <c r="O12" s="4">
        <f t="shared" si="1"/>
        <v>867700000</v>
      </c>
      <c r="P12" s="43">
        <f>(100/(M12*100))-1</f>
        <v>499</v>
      </c>
      <c r="Q12" s="4">
        <v>0</v>
      </c>
      <c r="R12" s="4">
        <v>5</v>
      </c>
      <c r="S12" s="7" t="s">
        <v>40</v>
      </c>
    </row>
    <row r="13" spans="2:21" ht="24" customHeight="1" thickBot="1" x14ac:dyDescent="0.35">
      <c r="B13" s="30" t="s">
        <v>18</v>
      </c>
      <c r="C13" s="31" t="s">
        <v>19</v>
      </c>
      <c r="D13" s="30" t="s">
        <v>20</v>
      </c>
      <c r="E13" s="30" t="str">
        <f>MID($B$3,37,4)</f>
        <v>3c25</v>
      </c>
      <c r="F13" s="30">
        <f>HEX2DEC(E13)/(2^4)</f>
        <v>962.3125</v>
      </c>
      <c r="G13" s="65"/>
      <c r="H13" s="35"/>
      <c r="I13" s="63"/>
      <c r="J13" s="67"/>
      <c r="K13" s="26">
        <v>867.9</v>
      </c>
      <c r="L13" s="69"/>
      <c r="M13" s="13">
        <f t="shared" si="2"/>
        <v>2E-3</v>
      </c>
      <c r="N13" s="11">
        <v>7</v>
      </c>
      <c r="O13" s="8">
        <f t="shared" si="1"/>
        <v>867900000</v>
      </c>
      <c r="P13" s="44">
        <f>(100/(M13*100))-1</f>
        <v>499</v>
      </c>
      <c r="Q13" s="8">
        <v>0</v>
      </c>
      <c r="R13" s="8">
        <v>5</v>
      </c>
      <c r="S13" s="9" t="s">
        <v>40</v>
      </c>
      <c r="T13" s="3"/>
    </row>
    <row r="14" spans="2:21" ht="24" customHeight="1" x14ac:dyDescent="0.3">
      <c r="B14" s="77" t="s">
        <v>72</v>
      </c>
      <c r="C14" s="79" t="s">
        <v>73</v>
      </c>
      <c r="D14" s="80" t="s">
        <v>24</v>
      </c>
      <c r="E14" s="77" t="str">
        <f>MID($B$3,41,4)</f>
        <v>01b8</v>
      </c>
      <c r="F14" s="77">
        <f>HEX2DEC(E14)/(2^4)</f>
        <v>27.5</v>
      </c>
      <c r="G14" s="78" t="s">
        <v>74</v>
      </c>
      <c r="H14" s="35"/>
      <c r="M14" s="3"/>
      <c r="S14" s="3"/>
      <c r="T14" s="3"/>
    </row>
    <row r="15" spans="2:21" ht="24" customHeight="1" thickBot="1" x14ac:dyDescent="0.35">
      <c r="B15" s="30" t="s">
        <v>22</v>
      </c>
      <c r="C15" s="31" t="s">
        <v>23</v>
      </c>
      <c r="D15" s="32" t="s">
        <v>24</v>
      </c>
      <c r="E15" s="30" t="str">
        <f>MID($B$3,45,4)</f>
        <v>01a0</v>
      </c>
      <c r="F15" s="30">
        <f>HEX2DEC(E15)/(2^4)</f>
        <v>26</v>
      </c>
      <c r="G15" s="65" t="s">
        <v>75</v>
      </c>
      <c r="H15" s="35"/>
      <c r="I15" s="41" t="s">
        <v>64</v>
      </c>
    </row>
    <row r="16" spans="2:21" ht="24" customHeight="1" thickBot="1" x14ac:dyDescent="0.35">
      <c r="B16" s="30" t="s">
        <v>25</v>
      </c>
      <c r="C16" s="31" t="s">
        <v>28</v>
      </c>
      <c r="D16" s="32" t="s">
        <v>29</v>
      </c>
      <c r="E16" s="30" t="str">
        <f>MID($B$3,49,4)</f>
        <v>0049</v>
      </c>
      <c r="F16" s="30">
        <f>HEX2DEC(E16)/(2^1)</f>
        <v>36.5</v>
      </c>
      <c r="G16" s="65"/>
      <c r="H16" s="36"/>
      <c r="I16" s="39" t="s">
        <v>62</v>
      </c>
      <c r="J16" s="39">
        <v>7</v>
      </c>
      <c r="K16" s="39">
        <v>6</v>
      </c>
      <c r="L16" s="39">
        <v>5</v>
      </c>
      <c r="M16" s="39">
        <v>4</v>
      </c>
      <c r="N16" s="39">
        <v>3</v>
      </c>
      <c r="O16" s="39">
        <v>2</v>
      </c>
      <c r="P16" s="39">
        <v>1</v>
      </c>
      <c r="Q16" s="40">
        <v>0</v>
      </c>
    </row>
    <row r="17" spans="2:17" ht="24" customHeight="1" x14ac:dyDescent="0.3">
      <c r="B17" s="30" t="s">
        <v>26</v>
      </c>
      <c r="C17" s="31" t="s">
        <v>27</v>
      </c>
      <c r="D17" s="32" t="s">
        <v>30</v>
      </c>
      <c r="E17" s="30" t="str">
        <f>MID($B$3,53,4)</f>
        <v>0032</v>
      </c>
      <c r="F17" s="33">
        <f>HEX2DEC(E17)</f>
        <v>50</v>
      </c>
      <c r="G17" s="65"/>
      <c r="H17" s="35"/>
      <c r="I17" s="70" t="s">
        <v>63</v>
      </c>
      <c r="J17" s="73" t="s">
        <v>65</v>
      </c>
      <c r="K17" s="58" t="s">
        <v>56</v>
      </c>
      <c r="L17" s="58" t="s">
        <v>57</v>
      </c>
      <c r="M17" s="37" t="s">
        <v>22</v>
      </c>
      <c r="N17" s="58" t="s">
        <v>18</v>
      </c>
      <c r="O17" s="37" t="s">
        <v>58</v>
      </c>
      <c r="P17" s="37" t="s">
        <v>58</v>
      </c>
      <c r="Q17" s="58" t="s">
        <v>61</v>
      </c>
    </row>
    <row r="18" spans="2:17" ht="24" customHeight="1" thickBot="1" x14ac:dyDescent="0.35">
      <c r="B18" s="30" t="s">
        <v>31</v>
      </c>
      <c r="C18" s="31" t="s">
        <v>33</v>
      </c>
      <c r="D18" s="32" t="s">
        <v>34</v>
      </c>
      <c r="E18" s="30" t="str">
        <f>MID($B$3,57,4)</f>
        <v>0006</v>
      </c>
      <c r="F18" s="30">
        <f>HEX2DEC(E18)</f>
        <v>6</v>
      </c>
      <c r="G18" s="65"/>
      <c r="H18" s="35"/>
      <c r="I18" s="71"/>
      <c r="J18" s="59"/>
      <c r="K18" s="59"/>
      <c r="L18" s="59"/>
      <c r="M18" s="38" t="s">
        <v>25</v>
      </c>
      <c r="N18" s="59"/>
      <c r="O18" s="38" t="s">
        <v>59</v>
      </c>
      <c r="P18" s="38" t="s">
        <v>60</v>
      </c>
      <c r="Q18" s="59"/>
    </row>
    <row r="19" spans="2:17" ht="16.2" x14ac:dyDescent="0.3">
      <c r="B19" s="30" t="s">
        <v>32</v>
      </c>
      <c r="C19" s="31" t="s">
        <v>33</v>
      </c>
      <c r="D19" s="32" t="s">
        <v>34</v>
      </c>
      <c r="E19" s="30" t="str">
        <f>MID($B$3,61,4)</f>
        <v>0007</v>
      </c>
      <c r="F19" s="30">
        <f>HEX2DEC(E19)</f>
        <v>7</v>
      </c>
      <c r="G19" s="65"/>
    </row>
    <row r="20" spans="2:17" x14ac:dyDescent="0.3">
      <c r="G20"/>
    </row>
    <row r="21" spans="2:17" x14ac:dyDescent="0.3">
      <c r="G21"/>
      <c r="I21" s="2" t="s">
        <v>66</v>
      </c>
      <c r="L21" s="42" t="s">
        <v>67</v>
      </c>
    </row>
    <row r="22" spans="2:17" x14ac:dyDescent="0.3">
      <c r="G22"/>
    </row>
    <row r="23" spans="2:17" x14ac:dyDescent="0.3">
      <c r="G23"/>
    </row>
    <row r="24" spans="2:17" x14ac:dyDescent="0.3">
      <c r="G24"/>
    </row>
    <row r="25" spans="2:17" x14ac:dyDescent="0.3">
      <c r="G25"/>
    </row>
    <row r="26" spans="2:17" x14ac:dyDescent="0.3">
      <c r="G26"/>
    </row>
    <row r="27" spans="2:17" x14ac:dyDescent="0.3">
      <c r="G27"/>
    </row>
    <row r="28" spans="2:17" x14ac:dyDescent="0.3">
      <c r="G28"/>
    </row>
    <row r="29" spans="2:17" x14ac:dyDescent="0.3">
      <c r="G29"/>
    </row>
  </sheetData>
  <mergeCells count="27">
    <mergeCell ref="B3:G3"/>
    <mergeCell ref="J17:J18"/>
    <mergeCell ref="K17:K18"/>
    <mergeCell ref="L17:L18"/>
    <mergeCell ref="I3:M3"/>
    <mergeCell ref="G4:G13"/>
    <mergeCell ref="G15:G19"/>
    <mergeCell ref="N17:N18"/>
    <mergeCell ref="Q17:Q18"/>
    <mergeCell ref="I6:I8"/>
    <mergeCell ref="I9:I13"/>
    <mergeCell ref="J6:J8"/>
    <mergeCell ref="J9:J13"/>
    <mergeCell ref="L6:L8"/>
    <mergeCell ref="L9:L13"/>
    <mergeCell ref="I17:I18"/>
    <mergeCell ref="N3:S3"/>
    <mergeCell ref="I4:I5"/>
    <mergeCell ref="J4:J5"/>
    <mergeCell ref="K4:K5"/>
    <mergeCell ref="L4:L5"/>
    <mergeCell ref="M4:M5"/>
    <mergeCell ref="N4:N5"/>
    <mergeCell ref="P4:P5"/>
    <mergeCell ref="O4:O5"/>
    <mergeCell ref="S4:S5"/>
    <mergeCell ref="Q4:R4"/>
  </mergeCells>
  <hyperlinks>
    <hyperlink ref="L21" r:id="rId1" xr:uid="{F733BC44-8B08-435D-A0FA-00362250B735}"/>
  </hyperlinks>
  <pageMargins left="0.7" right="0.7" top="0.78740157499999996" bottom="0.78740157499999996" header="0.3" footer="0.3"/>
  <pageSetup paperSize="9" orientation="portrait" horizontalDpi="0" verticalDpi="0" r:id="rId2"/>
  <ignoredErrors>
    <ignoredError sqref="L6:L13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Ruda</dc:creator>
  <cp:lastModifiedBy>Michal Ruda</cp:lastModifiedBy>
  <dcterms:created xsi:type="dcterms:W3CDTF">2018-08-06T18:11:30Z</dcterms:created>
  <dcterms:modified xsi:type="dcterms:W3CDTF">2018-10-10T17:21:55Z</dcterms:modified>
</cp:coreProperties>
</file>